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F84AE79-E01B-46B5-808C-2E40E4D958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345" sheetId="5" r:id="rId1"/>
    <sheet name="Consumption Graph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5" l="1"/>
  <c r="H18" i="5" s="1"/>
  <c r="I17" i="5"/>
  <c r="J17" i="5"/>
  <c r="K17" i="5"/>
  <c r="I18" i="5"/>
  <c r="J18" i="5"/>
  <c r="K18" i="5"/>
  <c r="L8" i="5"/>
  <c r="L5" i="5"/>
  <c r="P16" i="5"/>
  <c r="P15" i="5" l="1"/>
  <c r="P14" i="5" l="1"/>
  <c r="P13" i="5" l="1"/>
  <c r="P12" i="5" l="1"/>
  <c r="P10" i="5"/>
  <c r="P11" i="5" l="1"/>
  <c r="L39" i="5" l="1"/>
  <c r="C30" i="5" l="1"/>
  <c r="F30" i="5" s="1"/>
  <c r="K30" i="5" s="1"/>
  <c r="C31" i="5"/>
  <c r="F31" i="5" s="1"/>
  <c r="K31" i="5" s="1"/>
  <c r="C32" i="5"/>
  <c r="F32" i="5" s="1"/>
  <c r="K32" i="5" s="1"/>
  <c r="C33" i="5"/>
  <c r="F33" i="5" s="1"/>
  <c r="K33" i="5" s="1"/>
  <c r="C34" i="5"/>
  <c r="F34" i="5" l="1"/>
  <c r="K34" i="5" s="1"/>
  <c r="E34" i="5"/>
  <c r="E33" i="5"/>
  <c r="J34" i="5" l="1"/>
  <c r="L34" i="5" s="1"/>
  <c r="J33" i="5"/>
  <c r="L33" i="5" s="1"/>
  <c r="C26" i="5" l="1"/>
  <c r="C27" i="5"/>
  <c r="F27" i="5" s="1"/>
  <c r="K27" i="5" s="1"/>
  <c r="C28" i="5"/>
  <c r="F28" i="5" s="1"/>
  <c r="K28" i="5" s="1"/>
  <c r="C29" i="5"/>
  <c r="F29" i="5" s="1"/>
  <c r="K29" i="5" s="1"/>
  <c r="C25" i="5" l="1"/>
  <c r="C24" i="5" l="1"/>
  <c r="F24" i="5" l="1"/>
  <c r="K24" i="5" s="1"/>
  <c r="F25" i="5"/>
  <c r="K25" i="5" s="1"/>
  <c r="F26" i="5"/>
  <c r="K26" i="5" s="1"/>
  <c r="E24" i="5"/>
  <c r="J24" i="5" s="1"/>
  <c r="L24" i="5" s="1"/>
  <c r="E25" i="5"/>
  <c r="J25" i="5" s="1"/>
  <c r="L25" i="5" s="1"/>
  <c r="E26" i="5"/>
  <c r="J26" i="5" s="1"/>
  <c r="E27" i="5"/>
  <c r="E28" i="5"/>
  <c r="E29" i="5"/>
  <c r="J29" i="5" s="1"/>
  <c r="E30" i="5"/>
  <c r="J30" i="5" s="1"/>
  <c r="E31" i="5"/>
  <c r="J31" i="5" s="1"/>
  <c r="E32" i="5"/>
  <c r="N20" i="5"/>
  <c r="G17" i="5"/>
  <c r="G18" i="5" s="1"/>
  <c r="F17" i="5"/>
  <c r="F18" i="5" s="1"/>
  <c r="E17" i="5"/>
  <c r="E18" i="5" s="1"/>
  <c r="D17" i="5"/>
  <c r="D18" i="5" s="1"/>
  <c r="C17" i="5"/>
  <c r="C18" i="5" s="1"/>
  <c r="B17" i="5"/>
  <c r="B18" i="5" s="1"/>
  <c r="J32" i="5" l="1"/>
  <c r="L32" i="5" s="1"/>
  <c r="L30" i="5"/>
  <c r="J28" i="5"/>
  <c r="L28" i="5" s="1"/>
  <c r="J27" i="5"/>
  <c r="L27" i="5" s="1"/>
  <c r="L31" i="5"/>
  <c r="L29" i="5"/>
  <c r="L26" i="5"/>
  <c r="C23" i="5" l="1"/>
  <c r="F23" i="5" l="1"/>
  <c r="K23" i="5" s="1"/>
  <c r="E23" i="5"/>
  <c r="J23" i="5" s="1"/>
  <c r="L23" i="5" s="1"/>
  <c r="M5" i="5"/>
  <c r="N18" i="5"/>
  <c r="N17" i="5"/>
  <c r="P17" i="5" s="1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M7" i="5"/>
  <c r="L7" i="5"/>
  <c r="M6" i="5"/>
  <c r="L6" i="5"/>
  <c r="M18" i="5" l="1"/>
  <c r="L18" i="5"/>
  <c r="M17" i="5"/>
  <c r="L17" i="5"/>
  <c r="L35" i="5" l="1"/>
  <c r="L41" i="5" s="1"/>
</calcChain>
</file>

<file path=xl/sharedStrings.xml><?xml version="1.0" encoding="utf-8"?>
<sst xmlns="http://schemas.openxmlformats.org/spreadsheetml/2006/main" count="55" uniqueCount="39">
  <si>
    <t>Address</t>
  </si>
  <si>
    <t>Read</t>
  </si>
  <si>
    <t>5-YR</t>
  </si>
  <si>
    <t>10-YR</t>
  </si>
  <si>
    <t>Date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</si>
  <si>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</si>
  <si>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</si>
  <si>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</si>
  <si>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</si>
  <si>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</si>
  <si>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</si>
  <si>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</si>
  <si>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</si>
  <si>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</si>
  <si>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</si>
  <si>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</si>
  <si>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</si>
  <si>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</si>
  <si>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Average</t>
  </si>
  <si>
    <t>Thousand Gallons</t>
  </si>
  <si>
    <t>Budget</t>
  </si>
  <si>
    <t>Tier 1</t>
  </si>
  <si>
    <t>Meter</t>
  </si>
  <si>
    <t>Starry Knoll Owners Association Water Consumption</t>
  </si>
  <si>
    <t>Tier 2</t>
  </si>
  <si>
    <t>Fixed</t>
  </si>
  <si>
    <t>Admin</t>
  </si>
  <si>
    <t>Year to Date Total</t>
  </si>
  <si>
    <t>High water use Plants (sq. ft.)</t>
  </si>
  <si>
    <t>Other plant (sq. ft.)</t>
  </si>
  <si>
    <t>Average YTD cost per sq. ft.</t>
  </si>
  <si>
    <t>2021 Water Consumption</t>
  </si>
  <si>
    <t>2021 Allowance</t>
  </si>
  <si>
    <t>2021 Actual</t>
  </si>
  <si>
    <t>2021 Expense</t>
  </si>
  <si>
    <t>80% Target</t>
  </si>
  <si>
    <t>Reduction</t>
  </si>
  <si>
    <t xml:space="preserve"> Owers Association Example</t>
  </si>
  <si>
    <t>1234 Any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</si>
</sst>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0.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/>
    <xf numFmtId="165" fontId="3" fillId="0" borderId="4" xfId="0" applyNumberFormat="1" applyFont="1" applyBorder="1"/>
    <xf numFmtId="165" fontId="0" fillId="0" borderId="5" xfId="0" applyNumberFormat="1" applyBorder="1"/>
    <xf numFmtId="0" fontId="1" fillId="0" borderId="0" xfId="0" applyFont="1" applyAlignment="1">
      <alignment horizontal="right"/>
    </xf>
    <xf numFmtId="165" fontId="3" fillId="0" borderId="3" xfId="0" applyNumberFormat="1" applyFont="1" applyBorder="1"/>
    <xf numFmtId="165" fontId="3" fillId="0" borderId="5" xfId="0" applyNumberFormat="1" applyFon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3" xfId="0" applyNumberForma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6" xfId="0" applyNumberFormat="1" applyBorder="1"/>
    <xf numFmtId="44" fontId="0" fillId="0" borderId="6" xfId="1" applyFont="1" applyBorder="1"/>
    <xf numFmtId="44" fontId="0" fillId="0" borderId="0" xfId="0" applyNumberFormat="1"/>
    <xf numFmtId="0" fontId="7" fillId="0" borderId="0" xfId="1" applyNumberFormat="1" applyFont="1" applyBorder="1"/>
    <xf numFmtId="1" fontId="7" fillId="0" borderId="4" xfId="0" applyNumberFormat="1" applyFont="1" applyBorder="1"/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2" fontId="0" fillId="0" borderId="0" xfId="0" applyNumberFormat="1"/>
    <xf numFmtId="166" fontId="0" fillId="0" borderId="0" xfId="2" applyNumberFormat="1" applyFont="1"/>
    <xf numFmtId="166" fontId="0" fillId="0" borderId="7" xfId="0" applyNumberFormat="1" applyBorder="1"/>
    <xf numFmtId="44" fontId="8" fillId="0" borderId="0" xfId="0" applyNumberFormat="1" applyFont="1"/>
    <xf numFmtId="44" fontId="0" fillId="0" borderId="6" xfId="1" applyFont="1" applyFill="1" applyBorder="1"/>
    <xf numFmtId="0" fontId="0" fillId="0" borderId="10" xfId="0" applyBorder="1"/>
    <xf numFmtId="9" fontId="0" fillId="0" borderId="0" xfId="3" applyFo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/>
    </xf>
    <xf numFmtId="1" fontId="0" fillId="0" borderId="4" xfId="0" applyNumberFormat="1" applyFill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12345 - 1234 Any</a:t>
            </a:r>
            <a:r>
              <a:rPr lang="en-US" baseline="0"/>
              <a:t> Street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'12345'!$L$4</c:f>
              <c:strCache>
                <c:ptCount val="1"/>
                <c:pt idx="0">
                  <c:v>5-YR</c:v>
                </c:pt>
              </c:strCache>
            </c:strRef>
          </c:tx>
          <c:cat>
            <c:strRef>
              <c:f>'12345'!$A$5:$A$16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'12345'!$L$5:$L$16</c:f>
              <c:numCache>
                <c:formatCode>0.0</c:formatCode>
                <c:ptCount val="12"/>
                <c:pt idx="0">
                  <c:v>0</c:v>
                </c:pt>
                <c:pt idx="1">
                  <c:v>16.600000000000001</c:v>
                </c:pt>
                <c:pt idx="2">
                  <c:v>18.2</c:v>
                </c:pt>
                <c:pt idx="3">
                  <c:v>44</c:v>
                </c:pt>
                <c:pt idx="4">
                  <c:v>99</c:v>
                </c:pt>
                <c:pt idx="5">
                  <c:v>150.4</c:v>
                </c:pt>
                <c:pt idx="6">
                  <c:v>172.8</c:v>
                </c:pt>
                <c:pt idx="7">
                  <c:v>153</c:v>
                </c:pt>
                <c:pt idx="8">
                  <c:v>145.19999999999999</c:v>
                </c:pt>
                <c:pt idx="9">
                  <c:v>132</c:v>
                </c:pt>
                <c:pt idx="10">
                  <c:v>74.8</c:v>
                </c:pt>
                <c:pt idx="11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3-444C-A1A9-407133F20EAD}"/>
            </c:ext>
          </c:extLst>
        </c:ser>
        <c:ser>
          <c:idx val="1"/>
          <c:order val="1"/>
          <c:tx>
            <c:strRef>
              <c:f>'12345'!$M$4</c:f>
              <c:strCache>
                <c:ptCount val="1"/>
                <c:pt idx="0">
                  <c:v>10-YR</c:v>
                </c:pt>
              </c:strCache>
            </c:strRef>
          </c:tx>
          <c:cat>
            <c:strRef>
              <c:f>'12345'!$A$5:$A$16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'12345'!$M$5:$M$16</c:f>
              <c:numCache>
                <c:formatCode>0.0</c:formatCode>
                <c:ptCount val="12"/>
                <c:pt idx="0">
                  <c:v>12</c:v>
                </c:pt>
                <c:pt idx="1">
                  <c:v>11.2</c:v>
                </c:pt>
                <c:pt idx="2">
                  <c:v>16.3</c:v>
                </c:pt>
                <c:pt idx="3">
                  <c:v>33.200000000000003</c:v>
                </c:pt>
                <c:pt idx="4">
                  <c:v>79.8</c:v>
                </c:pt>
                <c:pt idx="5">
                  <c:v>125.5</c:v>
                </c:pt>
                <c:pt idx="6">
                  <c:v>145.1</c:v>
                </c:pt>
                <c:pt idx="7">
                  <c:v>155.1</c:v>
                </c:pt>
                <c:pt idx="8">
                  <c:v>138.4</c:v>
                </c:pt>
                <c:pt idx="9">
                  <c:v>111.5</c:v>
                </c:pt>
                <c:pt idx="10">
                  <c:v>50.5</c:v>
                </c:pt>
                <c:pt idx="11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3-444C-A1A9-407133F20EAD}"/>
            </c:ext>
          </c:extLst>
        </c:ser>
        <c:ser>
          <c:idx val="2"/>
          <c:order val="2"/>
          <c:tx>
            <c:strRef>
              <c:f>'12345'!$N$4</c:f>
              <c:strCache>
                <c:ptCount val="1"/>
                <c:pt idx="0">
                  <c:v>2021</c:v>
                </c:pt>
              </c:strCache>
            </c:strRef>
          </c:tx>
          <c:dLbls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'12345'!$A$5:$A$16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'12345'!$N$5:$N$16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74</c:v>
                </c:pt>
                <c:pt idx="4">
                  <c:v>81</c:v>
                </c:pt>
                <c:pt idx="5">
                  <c:v>95</c:v>
                </c:pt>
                <c:pt idx="6">
                  <c:v>94</c:v>
                </c:pt>
                <c:pt idx="7">
                  <c:v>96</c:v>
                </c:pt>
                <c:pt idx="8">
                  <c:v>98</c:v>
                </c:pt>
                <c:pt idx="9">
                  <c:v>37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3-444C-A1A9-407133F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12160"/>
        <c:axId val="105226240"/>
      </c:lineChart>
      <c:catAx>
        <c:axId val="10521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226240"/>
        <c:crosses val="autoZero"/>
        <c:auto val="1"/>
        <c:lblAlgn val="ctr"/>
        <c:lblOffset val="100"/>
        <c:noMultiLvlLbl val="0"/>
      </c:catAx>
      <c:valAx>
        <c:axId val="105226240"/>
        <c:scaling>
          <c:orientation val="minMax"/>
          <c:max val="26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05212160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17</xdr:col>
      <xdr:colOff>0</xdr:colOff>
      <xdr:row>25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workbookViewId="0">
      <selection activeCell="R23" sqref="R23"/>
    </sheetView>
  </sheetViews>
  <sheetFormatPr defaultRowHeight="14.4" x14ac:dyDescent="0.3"/>
  <cols>
    <col min="1" max="1" width="8.5546875" bestFit="1" customWidth="1"/>
    <col min="2" max="14" width="9.33203125" customWidth="1"/>
    <col min="16" max="16" width="10.5546875" bestFit="1" customWidth="1"/>
  </cols>
  <sheetData>
    <row r="1" spans="1:16" x14ac:dyDescent="0.3">
      <c r="B1" s="14" t="s">
        <v>37</v>
      </c>
      <c r="C1" s="14"/>
      <c r="D1" s="14"/>
      <c r="E1" s="14"/>
      <c r="F1" s="14"/>
      <c r="G1" s="14"/>
      <c r="H1" s="14" t="s">
        <v>22</v>
      </c>
      <c r="I1" s="14">
        <v>12345</v>
      </c>
      <c r="J1" s="14"/>
      <c r="K1" s="14" t="s">
        <v>0</v>
      </c>
      <c r="L1" s="15" t="s">
        <v>38</v>
      </c>
    </row>
    <row r="2" spans="1:16" x14ac:dyDescent="0.3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15" thickBot="1" x14ac:dyDescent="0.35">
      <c r="B3" s="36" t="s">
        <v>19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16" t="s">
        <v>1</v>
      </c>
      <c r="P3" s="17">
        <v>2021</v>
      </c>
    </row>
    <row r="4" spans="1:16" x14ac:dyDescent="0.3">
      <c r="A4" s="2"/>
      <c r="B4" s="3">
        <v>2011</v>
      </c>
      <c r="C4" s="3">
        <v>2012</v>
      </c>
      <c r="D4" s="3">
        <v>2013</v>
      </c>
      <c r="E4" s="3">
        <v>2014</v>
      </c>
      <c r="F4" s="3">
        <v>2015</v>
      </c>
      <c r="G4" s="3">
        <v>2016</v>
      </c>
      <c r="H4" s="3">
        <v>2017</v>
      </c>
      <c r="I4" s="3">
        <v>2018</v>
      </c>
      <c r="J4" s="3">
        <v>2019</v>
      </c>
      <c r="K4" s="3">
        <v>2020</v>
      </c>
      <c r="L4" s="4" t="s">
        <v>2</v>
      </c>
      <c r="M4" s="4" t="s">
        <v>3</v>
      </c>
      <c r="N4" s="3">
        <v>2021</v>
      </c>
      <c r="O4" s="18" t="s">
        <v>4</v>
      </c>
      <c r="P4" s="17" t="s">
        <v>36</v>
      </c>
    </row>
    <row r="5" spans="1:16" x14ac:dyDescent="0.3">
      <c r="A5" s="5" t="s">
        <v>5</v>
      </c>
      <c r="B5" s="11">
        <v>0</v>
      </c>
      <c r="C5" s="11">
        <v>37</v>
      </c>
      <c r="D5" s="11">
        <v>8</v>
      </c>
      <c r="E5" s="11">
        <v>75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6">
        <f>AVERAGE(G5:K5)</f>
        <v>0</v>
      </c>
      <c r="M5" s="6">
        <f t="shared" ref="M5:M16" si="0">IF(B5="","",AVERAGE(B5:K5))</f>
        <v>12</v>
      </c>
      <c r="N5" s="11">
        <v>0</v>
      </c>
      <c r="O5" s="1">
        <v>44222</v>
      </c>
    </row>
    <row r="6" spans="1:16" x14ac:dyDescent="0.3">
      <c r="A6" s="5" t="s">
        <v>6</v>
      </c>
      <c r="B6" s="11">
        <v>0</v>
      </c>
      <c r="C6" s="11">
        <v>0</v>
      </c>
      <c r="D6" s="11">
        <v>20</v>
      </c>
      <c r="E6" s="11">
        <v>9</v>
      </c>
      <c r="F6" s="11">
        <v>0</v>
      </c>
      <c r="G6" s="11">
        <v>0</v>
      </c>
      <c r="H6" s="11">
        <v>0</v>
      </c>
      <c r="I6" s="11">
        <v>73</v>
      </c>
      <c r="J6" s="11">
        <v>0</v>
      </c>
      <c r="K6" s="11">
        <v>10</v>
      </c>
      <c r="L6" s="6">
        <f t="shared" ref="L6:L16" si="1">AVERAGE(G6:K6)</f>
        <v>16.600000000000001</v>
      </c>
      <c r="M6" s="6">
        <f t="shared" si="0"/>
        <v>11.2</v>
      </c>
      <c r="N6" s="11">
        <v>0</v>
      </c>
      <c r="O6" s="1">
        <v>44251</v>
      </c>
    </row>
    <row r="7" spans="1:16" x14ac:dyDescent="0.3">
      <c r="A7" s="5" t="s">
        <v>7</v>
      </c>
      <c r="B7" s="11">
        <v>0</v>
      </c>
      <c r="C7" s="11">
        <v>0</v>
      </c>
      <c r="D7" s="11">
        <v>46</v>
      </c>
      <c r="E7" s="11">
        <v>11</v>
      </c>
      <c r="F7" s="11">
        <v>15</v>
      </c>
      <c r="G7" s="11">
        <v>0</v>
      </c>
      <c r="H7" s="11">
        <v>2</v>
      </c>
      <c r="I7" s="11">
        <v>47</v>
      </c>
      <c r="J7" s="11">
        <v>0</v>
      </c>
      <c r="K7" s="11">
        <v>42</v>
      </c>
      <c r="L7" s="6">
        <f t="shared" si="1"/>
        <v>18.2</v>
      </c>
      <c r="M7" s="6">
        <f t="shared" si="0"/>
        <v>16.3</v>
      </c>
      <c r="N7" s="11">
        <v>0</v>
      </c>
      <c r="O7" s="1">
        <v>44279</v>
      </c>
    </row>
    <row r="8" spans="1:16" x14ac:dyDescent="0.3">
      <c r="A8" s="5" t="s">
        <v>8</v>
      </c>
      <c r="B8" s="11">
        <v>0</v>
      </c>
      <c r="C8" s="11">
        <v>0</v>
      </c>
      <c r="D8" s="11">
        <v>41</v>
      </c>
      <c r="E8" s="11">
        <v>15</v>
      </c>
      <c r="F8" s="11">
        <v>56</v>
      </c>
      <c r="G8" s="41">
        <v>22</v>
      </c>
      <c r="H8" s="11">
        <v>0</v>
      </c>
      <c r="I8" s="11">
        <v>144</v>
      </c>
      <c r="J8" s="11">
        <v>14</v>
      </c>
      <c r="K8" s="11">
        <v>40</v>
      </c>
      <c r="L8" s="6">
        <f>AVERAGE(G8:K8)</f>
        <v>44</v>
      </c>
      <c r="M8" s="6">
        <f t="shared" si="0"/>
        <v>33.200000000000003</v>
      </c>
      <c r="N8" s="11">
        <v>74</v>
      </c>
      <c r="O8" s="1">
        <v>44308</v>
      </c>
    </row>
    <row r="9" spans="1:16" x14ac:dyDescent="0.3">
      <c r="A9" s="5" t="s">
        <v>9</v>
      </c>
      <c r="B9" s="11">
        <v>16</v>
      </c>
      <c r="C9" s="11">
        <v>39</v>
      </c>
      <c r="D9" s="11">
        <v>131</v>
      </c>
      <c r="E9" s="11">
        <v>72</v>
      </c>
      <c r="F9" s="11">
        <v>45</v>
      </c>
      <c r="G9" s="41">
        <v>61</v>
      </c>
      <c r="H9" s="11">
        <v>163</v>
      </c>
      <c r="I9" s="11">
        <v>99</v>
      </c>
      <c r="J9" s="11">
        <v>94</v>
      </c>
      <c r="K9" s="11">
        <v>78</v>
      </c>
      <c r="L9" s="6">
        <f t="shared" si="1"/>
        <v>99</v>
      </c>
      <c r="M9" s="6">
        <f t="shared" si="0"/>
        <v>79.8</v>
      </c>
      <c r="N9" s="11">
        <v>81</v>
      </c>
      <c r="O9" s="1">
        <v>44340</v>
      </c>
    </row>
    <row r="10" spans="1:16" x14ac:dyDescent="0.3">
      <c r="A10" s="5" t="s">
        <v>10</v>
      </c>
      <c r="B10" s="11">
        <v>19</v>
      </c>
      <c r="C10" s="11">
        <v>104</v>
      </c>
      <c r="D10" s="11">
        <v>169</v>
      </c>
      <c r="E10" s="11">
        <v>132</v>
      </c>
      <c r="F10" s="11">
        <v>79</v>
      </c>
      <c r="G10" s="41">
        <v>101</v>
      </c>
      <c r="H10" s="11">
        <v>171</v>
      </c>
      <c r="I10" s="11">
        <v>233</v>
      </c>
      <c r="J10" s="11">
        <v>135</v>
      </c>
      <c r="K10" s="11">
        <v>112</v>
      </c>
      <c r="L10" s="6">
        <f t="shared" si="1"/>
        <v>150.4</v>
      </c>
      <c r="M10" s="6">
        <f t="shared" si="0"/>
        <v>125.5</v>
      </c>
      <c r="N10" s="11">
        <v>95</v>
      </c>
      <c r="O10" s="1">
        <v>44370</v>
      </c>
      <c r="P10" s="35">
        <f t="shared" ref="P10:P16" si="2">(N10-K10)/K10</f>
        <v>-0.15178571428571427</v>
      </c>
    </row>
    <row r="11" spans="1:16" x14ac:dyDescent="0.3">
      <c r="A11" s="5" t="s">
        <v>11</v>
      </c>
      <c r="B11" s="11">
        <v>29</v>
      </c>
      <c r="C11" s="11">
        <v>140</v>
      </c>
      <c r="D11" s="11">
        <v>175</v>
      </c>
      <c r="E11" s="11">
        <v>130</v>
      </c>
      <c r="F11" s="11">
        <v>113</v>
      </c>
      <c r="G11" s="11">
        <v>143</v>
      </c>
      <c r="H11" s="11">
        <v>211</v>
      </c>
      <c r="I11" s="11">
        <v>238</v>
      </c>
      <c r="J11" s="11">
        <v>133</v>
      </c>
      <c r="K11" s="11">
        <v>139</v>
      </c>
      <c r="L11" s="6">
        <f t="shared" si="1"/>
        <v>172.8</v>
      </c>
      <c r="M11" s="6">
        <f t="shared" si="0"/>
        <v>145.1</v>
      </c>
      <c r="N11" s="11">
        <v>94</v>
      </c>
      <c r="O11" s="1">
        <v>44399</v>
      </c>
      <c r="P11" s="35">
        <f t="shared" si="2"/>
        <v>-0.32374100719424459</v>
      </c>
    </row>
    <row r="12" spans="1:16" x14ac:dyDescent="0.3">
      <c r="A12" s="5" t="s">
        <v>12</v>
      </c>
      <c r="B12" s="11">
        <v>163</v>
      </c>
      <c r="C12" s="11">
        <v>163</v>
      </c>
      <c r="D12" s="11">
        <v>165</v>
      </c>
      <c r="E12" s="11">
        <v>150</v>
      </c>
      <c r="F12" s="11">
        <v>145</v>
      </c>
      <c r="G12" s="11">
        <v>160</v>
      </c>
      <c r="H12" s="11">
        <v>153</v>
      </c>
      <c r="I12" s="11">
        <v>149</v>
      </c>
      <c r="J12" s="25">
        <v>186</v>
      </c>
      <c r="K12" s="25">
        <v>117</v>
      </c>
      <c r="L12" s="6">
        <f t="shared" si="1"/>
        <v>153</v>
      </c>
      <c r="M12" s="6">
        <f t="shared" si="0"/>
        <v>155.1</v>
      </c>
      <c r="N12" s="25">
        <v>96</v>
      </c>
      <c r="O12" s="1">
        <v>44431</v>
      </c>
      <c r="P12" s="35">
        <f t="shared" si="2"/>
        <v>-0.17948717948717949</v>
      </c>
    </row>
    <row r="13" spans="1:16" x14ac:dyDescent="0.3">
      <c r="A13" s="5" t="s">
        <v>13</v>
      </c>
      <c r="B13" s="11">
        <v>61</v>
      </c>
      <c r="C13" s="11">
        <v>159</v>
      </c>
      <c r="D13" s="11">
        <v>171</v>
      </c>
      <c r="E13" s="11">
        <v>136</v>
      </c>
      <c r="F13" s="11">
        <v>131</v>
      </c>
      <c r="G13" s="11">
        <v>163</v>
      </c>
      <c r="H13" s="11">
        <v>172</v>
      </c>
      <c r="I13" s="11">
        <v>149</v>
      </c>
      <c r="J13" s="25">
        <v>126</v>
      </c>
      <c r="K13" s="25">
        <v>116</v>
      </c>
      <c r="L13" s="6">
        <f t="shared" si="1"/>
        <v>145.19999999999999</v>
      </c>
      <c r="M13" s="6">
        <f t="shared" si="0"/>
        <v>138.4</v>
      </c>
      <c r="N13" s="25">
        <v>98</v>
      </c>
      <c r="O13" s="1">
        <v>44461</v>
      </c>
      <c r="P13" s="35">
        <f t="shared" si="2"/>
        <v>-0.15517241379310345</v>
      </c>
    </row>
    <row r="14" spans="1:16" x14ac:dyDescent="0.3">
      <c r="A14" s="5" t="s">
        <v>14</v>
      </c>
      <c r="B14" s="11">
        <v>13</v>
      </c>
      <c r="C14" s="11">
        <v>115</v>
      </c>
      <c r="D14" s="11">
        <v>98</v>
      </c>
      <c r="E14" s="11">
        <v>83</v>
      </c>
      <c r="F14" s="11">
        <v>146</v>
      </c>
      <c r="G14" s="11">
        <v>103</v>
      </c>
      <c r="H14" s="11">
        <v>167</v>
      </c>
      <c r="I14" s="11">
        <v>144</v>
      </c>
      <c r="J14" s="25">
        <v>126</v>
      </c>
      <c r="K14" s="25">
        <v>120</v>
      </c>
      <c r="L14" s="6">
        <f t="shared" si="1"/>
        <v>132</v>
      </c>
      <c r="M14" s="6">
        <f t="shared" si="0"/>
        <v>111.5</v>
      </c>
      <c r="N14" s="25">
        <v>37</v>
      </c>
      <c r="O14" s="1">
        <v>44490</v>
      </c>
      <c r="P14" s="35">
        <f t="shared" si="2"/>
        <v>-0.69166666666666665</v>
      </c>
    </row>
    <row r="15" spans="1:16" x14ac:dyDescent="0.3">
      <c r="A15" s="5" t="s">
        <v>15</v>
      </c>
      <c r="B15" s="11">
        <v>15</v>
      </c>
      <c r="C15" s="11">
        <v>0</v>
      </c>
      <c r="D15" s="11">
        <v>67</v>
      </c>
      <c r="E15" s="11">
        <v>15</v>
      </c>
      <c r="F15" s="11">
        <v>34</v>
      </c>
      <c r="G15" s="11">
        <v>0</v>
      </c>
      <c r="H15" s="11">
        <v>68</v>
      </c>
      <c r="I15" s="11">
        <v>100</v>
      </c>
      <c r="J15" s="25">
        <v>136</v>
      </c>
      <c r="K15" s="25">
        <v>70</v>
      </c>
      <c r="L15" s="6">
        <f t="shared" si="1"/>
        <v>74.8</v>
      </c>
      <c r="M15" s="6">
        <f t="shared" si="0"/>
        <v>50.5</v>
      </c>
      <c r="N15" s="25">
        <v>0</v>
      </c>
      <c r="O15" s="1">
        <v>44521</v>
      </c>
      <c r="P15" s="35">
        <f t="shared" si="2"/>
        <v>-1</v>
      </c>
    </row>
    <row r="16" spans="1:16" ht="15" thickBot="1" x14ac:dyDescent="0.35">
      <c r="A16" s="5" t="s">
        <v>16</v>
      </c>
      <c r="B16" s="12">
        <v>18</v>
      </c>
      <c r="C16" s="12">
        <v>0</v>
      </c>
      <c r="D16" s="12">
        <v>20</v>
      </c>
      <c r="E16" s="12">
        <v>0</v>
      </c>
      <c r="F16" s="12">
        <v>0</v>
      </c>
      <c r="G16" s="12">
        <v>0</v>
      </c>
      <c r="H16" s="12">
        <v>0</v>
      </c>
      <c r="I16" s="11">
        <v>0</v>
      </c>
      <c r="J16" s="25">
        <v>8</v>
      </c>
      <c r="K16" s="25">
        <v>26</v>
      </c>
      <c r="L16" s="6">
        <f t="shared" si="1"/>
        <v>6.8</v>
      </c>
      <c r="M16" s="6">
        <f t="shared" si="0"/>
        <v>7.2</v>
      </c>
      <c r="N16" s="25">
        <v>0</v>
      </c>
      <c r="O16" s="1">
        <v>44551</v>
      </c>
      <c r="P16" s="35">
        <f t="shared" si="2"/>
        <v>-1</v>
      </c>
    </row>
    <row r="17" spans="1:16" x14ac:dyDescent="0.3">
      <c r="A17" s="8" t="s">
        <v>17</v>
      </c>
      <c r="B17" s="13">
        <f t="shared" ref="B17:J17" si="3">SUM(B5:B16)</f>
        <v>334</v>
      </c>
      <c r="C17" s="13">
        <f t="shared" si="3"/>
        <v>757</v>
      </c>
      <c r="D17" s="13">
        <f t="shared" si="3"/>
        <v>1111</v>
      </c>
      <c r="E17" s="13">
        <f t="shared" si="3"/>
        <v>828</v>
      </c>
      <c r="F17" s="13">
        <f t="shared" si="3"/>
        <v>764</v>
      </c>
      <c r="G17" s="13">
        <f t="shared" si="3"/>
        <v>753</v>
      </c>
      <c r="H17" s="13">
        <f t="shared" si="3"/>
        <v>1107</v>
      </c>
      <c r="I17" s="13">
        <f t="shared" si="3"/>
        <v>1376</v>
      </c>
      <c r="J17" s="13">
        <f t="shared" si="3"/>
        <v>958</v>
      </c>
      <c r="K17" s="13">
        <f>SUM(K5:K16)</f>
        <v>870</v>
      </c>
      <c r="L17" s="9">
        <f t="shared" ref="L17:M17" si="4">SUM(L5:L16)</f>
        <v>1012.8</v>
      </c>
      <c r="M17" s="9">
        <f t="shared" si="4"/>
        <v>885.80000000000007</v>
      </c>
      <c r="N17" s="13">
        <f>SUM(N5:N16)</f>
        <v>575</v>
      </c>
      <c r="O17" s="1"/>
      <c r="P17" s="35">
        <f>(N17-K17)/K17</f>
        <v>-0.33908045977011492</v>
      </c>
    </row>
    <row r="18" spans="1:16" ht="15" thickBot="1" x14ac:dyDescent="0.35">
      <c r="A18" s="8" t="s">
        <v>18</v>
      </c>
      <c r="B18" s="7">
        <f t="shared" ref="B18:H18" si="5">IF(B17=0,"",AVERAGE(B5:B16))</f>
        <v>27.833333333333332</v>
      </c>
      <c r="C18" s="7">
        <f t="shared" si="5"/>
        <v>63.083333333333336</v>
      </c>
      <c r="D18" s="7">
        <f t="shared" si="5"/>
        <v>92.583333333333329</v>
      </c>
      <c r="E18" s="7">
        <f t="shared" si="5"/>
        <v>69</v>
      </c>
      <c r="F18" s="7">
        <f t="shared" si="5"/>
        <v>63.666666666666664</v>
      </c>
      <c r="G18" s="7">
        <f t="shared" si="5"/>
        <v>62.75</v>
      </c>
      <c r="H18" s="7">
        <f t="shared" si="5"/>
        <v>92.25</v>
      </c>
      <c r="I18" s="7">
        <f>AVERAGE(I5:I16)</f>
        <v>114.66666666666667</v>
      </c>
      <c r="J18" s="7">
        <f>AVERAGE(J5:J16)</f>
        <v>79.833333333333329</v>
      </c>
      <c r="K18" s="7">
        <f>AVERAGE(K5:K16)</f>
        <v>72.5</v>
      </c>
      <c r="L18" s="10">
        <f>AVERAGE(L5:L16)</f>
        <v>84.399999999999991</v>
      </c>
      <c r="M18" s="10">
        <f>IF(B18="","",AVERAGE(B18:K18))</f>
        <v>73.816666666666677</v>
      </c>
      <c r="N18" s="7">
        <f>AVERAGE(N5:N16)</f>
        <v>47.916666666666664</v>
      </c>
      <c r="O18" s="1"/>
    </row>
    <row r="19" spans="1:16" ht="15" thickBot="1" x14ac:dyDescent="0.35"/>
    <row r="20" spans="1:16" ht="15" thickBot="1" x14ac:dyDescent="0.35">
      <c r="L20" s="38" t="s">
        <v>35</v>
      </c>
      <c r="M20" s="39"/>
      <c r="N20" s="34">
        <f>K17*0.8</f>
        <v>696</v>
      </c>
    </row>
    <row r="21" spans="1:16" x14ac:dyDescent="0.3">
      <c r="B21" s="37" t="s">
        <v>32</v>
      </c>
      <c r="C21" s="37"/>
      <c r="E21" s="37" t="s">
        <v>33</v>
      </c>
      <c r="F21" s="37"/>
      <c r="H21" s="37" t="s">
        <v>34</v>
      </c>
      <c r="I21" s="37"/>
      <c r="J21" s="37"/>
      <c r="K21" s="37"/>
      <c r="L21" s="37"/>
    </row>
    <row r="22" spans="1:16" x14ac:dyDescent="0.3">
      <c r="B22" s="17" t="s">
        <v>20</v>
      </c>
      <c r="C22" s="17" t="s">
        <v>21</v>
      </c>
      <c r="E22" s="17" t="s">
        <v>21</v>
      </c>
      <c r="F22" s="17" t="s">
        <v>24</v>
      </c>
      <c r="H22" s="17" t="s">
        <v>25</v>
      </c>
      <c r="I22" s="17" t="s">
        <v>26</v>
      </c>
      <c r="J22" s="17" t="s">
        <v>21</v>
      </c>
      <c r="K22" s="17" t="s">
        <v>24</v>
      </c>
      <c r="L22" s="17" t="s">
        <v>17</v>
      </c>
    </row>
    <row r="23" spans="1:16" x14ac:dyDescent="0.3">
      <c r="A23" s="5" t="s">
        <v>5</v>
      </c>
      <c r="B23" s="19">
        <v>4</v>
      </c>
      <c r="C23" s="20">
        <f>IF(B23="","",B23*1.25)</f>
        <v>5</v>
      </c>
      <c r="E23" s="21">
        <f>IF(B23="","",IF(N5&lt;C23,N5,ROUND(C23,1)))</f>
        <v>0</v>
      </c>
      <c r="F23" s="21">
        <f>IF(B23="","",IF(N5&lt;C23,0,N5-C23))</f>
        <v>0</v>
      </c>
      <c r="H23" s="22">
        <v>93.57</v>
      </c>
      <c r="I23" s="22">
        <v>3.25</v>
      </c>
      <c r="J23" s="22">
        <f t="shared" ref="J23:J25" si="6">IF(B23="","",ROUND(E23*5.76,2))</f>
        <v>0</v>
      </c>
      <c r="K23" s="22">
        <f t="shared" ref="K23:K25" si="7">IF(B23="","",ROUND(F23*7.2,2))</f>
        <v>0</v>
      </c>
      <c r="L23" s="22">
        <f>IF(B23=0,"",SUM(H23:K23))</f>
        <v>96.82</v>
      </c>
    </row>
    <row r="24" spans="1:16" x14ac:dyDescent="0.3">
      <c r="A24" s="5" t="s">
        <v>6</v>
      </c>
      <c r="B24" s="19">
        <v>4</v>
      </c>
      <c r="C24" s="20">
        <f>IF(B24="","",B24*1.25)</f>
        <v>5</v>
      </c>
      <c r="E24" s="21">
        <f>IF(B24="","",IF(N6&lt;C24,N6,ROUND(C24,1)))</f>
        <v>0</v>
      </c>
      <c r="F24" s="21">
        <f>IF(B24="","",IF(N6&lt;C24,0,N6-C24))</f>
        <v>0</v>
      </c>
      <c r="H24" s="22">
        <v>93.57</v>
      </c>
      <c r="I24" s="22">
        <v>3.25</v>
      </c>
      <c r="J24" s="22">
        <f t="shared" si="6"/>
        <v>0</v>
      </c>
      <c r="K24" s="22">
        <f t="shared" si="7"/>
        <v>0</v>
      </c>
      <c r="L24" s="22">
        <f>IF(B24=0,"",SUM(H24:K24))</f>
        <v>96.82</v>
      </c>
    </row>
    <row r="25" spans="1:16" x14ac:dyDescent="0.3">
      <c r="A25" s="5" t="s">
        <v>7</v>
      </c>
      <c r="B25" s="19">
        <v>25</v>
      </c>
      <c r="C25" s="20">
        <f>IF(B25="","",B25*1.25)</f>
        <v>31.25</v>
      </c>
      <c r="E25" s="21">
        <f>IF(B25="","",IF(N7&lt;C25,N7,ROUND(C25,1)))</f>
        <v>0</v>
      </c>
      <c r="F25" s="21">
        <f>IF(B25="","",IF(N7&lt;C25,0,N7-C25))</f>
        <v>0</v>
      </c>
      <c r="H25" s="22">
        <v>93.57</v>
      </c>
      <c r="I25" s="22">
        <v>3.25</v>
      </c>
      <c r="J25" s="22">
        <f t="shared" si="6"/>
        <v>0</v>
      </c>
      <c r="K25" s="22">
        <f t="shared" si="7"/>
        <v>0</v>
      </c>
      <c r="L25" s="22">
        <f t="shared" ref="L25:L34" si="8">IF(B25=0,"",SUM(H25:K25))</f>
        <v>96.82</v>
      </c>
    </row>
    <row r="26" spans="1:16" x14ac:dyDescent="0.3">
      <c r="A26" s="5" t="s">
        <v>8</v>
      </c>
      <c r="B26" s="19">
        <v>58</v>
      </c>
      <c r="C26" s="20">
        <f t="shared" ref="C26:C34" si="9">IF(B26="","",B26*1.25)</f>
        <v>72.5</v>
      </c>
      <c r="E26" s="21">
        <f t="shared" ref="E26:E34" si="10">IF(B26="","",IF(N8&lt;C26,N8,ROUND(C26,1)))</f>
        <v>72.5</v>
      </c>
      <c r="F26" s="21">
        <f t="shared" ref="F26:F34" si="11">IF(B26="","",IF(N8&lt;C26,0,N8-C26))</f>
        <v>1.5</v>
      </c>
      <c r="H26" s="22">
        <v>93.57</v>
      </c>
      <c r="I26" s="22">
        <v>3.25</v>
      </c>
      <c r="J26" s="22">
        <f t="shared" ref="J26:J28" si="12">IF(B26="","",ROUND(E26*5.9,2))</f>
        <v>427.75</v>
      </c>
      <c r="K26" s="22">
        <f t="shared" ref="K26:K33" si="13">IF(B26="","",ROUND(F26*7.34,2))</f>
        <v>11.01</v>
      </c>
      <c r="L26" s="22">
        <f t="shared" si="8"/>
        <v>535.57999999999993</v>
      </c>
    </row>
    <row r="27" spans="1:16" x14ac:dyDescent="0.3">
      <c r="A27" s="5" t="s">
        <v>9</v>
      </c>
      <c r="B27" s="19">
        <v>112</v>
      </c>
      <c r="C27" s="20">
        <f t="shared" si="9"/>
        <v>140</v>
      </c>
      <c r="E27" s="21">
        <f t="shared" si="10"/>
        <v>81</v>
      </c>
      <c r="F27" s="21">
        <f t="shared" si="11"/>
        <v>0</v>
      </c>
      <c r="H27" s="22">
        <v>93.57</v>
      </c>
      <c r="I27" s="22">
        <v>3.25</v>
      </c>
      <c r="J27" s="22">
        <f t="shared" si="12"/>
        <v>477.9</v>
      </c>
      <c r="K27" s="22">
        <f t="shared" si="13"/>
        <v>0</v>
      </c>
      <c r="L27" s="22">
        <f t="shared" si="8"/>
        <v>574.72</v>
      </c>
    </row>
    <row r="28" spans="1:16" x14ac:dyDescent="0.3">
      <c r="A28" s="5" t="s">
        <v>10</v>
      </c>
      <c r="B28" s="19">
        <v>120</v>
      </c>
      <c r="C28" s="20">
        <f t="shared" si="9"/>
        <v>150</v>
      </c>
      <c r="E28" s="21">
        <f t="shared" si="10"/>
        <v>95</v>
      </c>
      <c r="F28" s="21">
        <f t="shared" si="11"/>
        <v>0</v>
      </c>
      <c r="H28" s="22">
        <v>93.57</v>
      </c>
      <c r="I28" s="22">
        <v>3.25</v>
      </c>
      <c r="J28" s="22">
        <f t="shared" si="12"/>
        <v>560.5</v>
      </c>
      <c r="K28" s="22">
        <f t="shared" si="13"/>
        <v>0</v>
      </c>
      <c r="L28" s="22">
        <f t="shared" si="8"/>
        <v>657.31999999999994</v>
      </c>
    </row>
    <row r="29" spans="1:16" x14ac:dyDescent="0.3">
      <c r="A29" s="5" t="s">
        <v>11</v>
      </c>
      <c r="B29" s="19">
        <v>113</v>
      </c>
      <c r="C29" s="20">
        <f t="shared" si="9"/>
        <v>141.25</v>
      </c>
      <c r="E29" s="21">
        <f t="shared" si="10"/>
        <v>94</v>
      </c>
      <c r="F29" s="21">
        <f t="shared" si="11"/>
        <v>0</v>
      </c>
      <c r="H29" s="33">
        <v>95.95</v>
      </c>
      <c r="I29" s="33">
        <v>3.25</v>
      </c>
      <c r="J29" s="33">
        <f>IF(B29="","",ROUND(E29*6.09,2))</f>
        <v>572.46</v>
      </c>
      <c r="K29" s="33">
        <f t="shared" si="13"/>
        <v>0</v>
      </c>
      <c r="L29" s="33">
        <f t="shared" si="8"/>
        <v>671.66000000000008</v>
      </c>
    </row>
    <row r="30" spans="1:16" x14ac:dyDescent="0.3">
      <c r="A30" s="5" t="s">
        <v>12</v>
      </c>
      <c r="B30" s="26">
        <v>106</v>
      </c>
      <c r="C30" s="20">
        <f t="shared" si="9"/>
        <v>132.5</v>
      </c>
      <c r="E30" s="21">
        <f t="shared" si="10"/>
        <v>96</v>
      </c>
      <c r="F30" s="21">
        <f t="shared" si="11"/>
        <v>0</v>
      </c>
      <c r="H30" s="33">
        <v>95.95</v>
      </c>
      <c r="I30" s="33">
        <v>3.25</v>
      </c>
      <c r="J30" s="33">
        <f t="shared" ref="J30:J34" si="14">IF(B30="","",ROUND(E30*6.09,2))</f>
        <v>584.64</v>
      </c>
      <c r="K30" s="33">
        <f t="shared" si="13"/>
        <v>0</v>
      </c>
      <c r="L30" s="33">
        <f t="shared" si="8"/>
        <v>683.84</v>
      </c>
      <c r="P30" s="23"/>
    </row>
    <row r="31" spans="1:16" x14ac:dyDescent="0.3">
      <c r="A31" s="5" t="s">
        <v>13</v>
      </c>
      <c r="B31" s="26">
        <v>89</v>
      </c>
      <c r="C31" s="20">
        <f t="shared" si="9"/>
        <v>111.25</v>
      </c>
      <c r="E31" s="21">
        <f t="shared" si="10"/>
        <v>98</v>
      </c>
      <c r="F31" s="21">
        <f t="shared" si="11"/>
        <v>0</v>
      </c>
      <c r="H31" s="33">
        <v>95.95</v>
      </c>
      <c r="I31" s="33">
        <v>3.25</v>
      </c>
      <c r="J31" s="33">
        <f t="shared" si="14"/>
        <v>596.82000000000005</v>
      </c>
      <c r="K31" s="33">
        <f t="shared" si="13"/>
        <v>0</v>
      </c>
      <c r="L31" s="33">
        <f t="shared" si="8"/>
        <v>696.0200000000001</v>
      </c>
      <c r="P31" s="23"/>
    </row>
    <row r="32" spans="1:16" x14ac:dyDescent="0.3">
      <c r="A32" s="5" t="s">
        <v>14</v>
      </c>
      <c r="B32" s="26">
        <v>64</v>
      </c>
      <c r="C32" s="20">
        <f t="shared" si="9"/>
        <v>80</v>
      </c>
      <c r="E32" s="21">
        <f t="shared" si="10"/>
        <v>37</v>
      </c>
      <c r="F32" s="21">
        <f t="shared" si="11"/>
        <v>0</v>
      </c>
      <c r="H32" s="33">
        <v>95.95</v>
      </c>
      <c r="I32" s="33">
        <v>3.25</v>
      </c>
      <c r="J32" s="33">
        <f t="shared" si="14"/>
        <v>225.33</v>
      </c>
      <c r="K32" s="33">
        <f t="shared" si="13"/>
        <v>0</v>
      </c>
      <c r="L32" s="33">
        <f t="shared" si="8"/>
        <v>324.53000000000003</v>
      </c>
      <c r="P32" s="23"/>
    </row>
    <row r="33" spans="1:16" x14ac:dyDescent="0.3">
      <c r="A33" s="5" t="s">
        <v>15</v>
      </c>
      <c r="B33" s="26">
        <v>4</v>
      </c>
      <c r="C33" s="20">
        <f t="shared" si="9"/>
        <v>5</v>
      </c>
      <c r="E33" s="21">
        <f t="shared" si="10"/>
        <v>0</v>
      </c>
      <c r="F33" s="21">
        <f t="shared" si="11"/>
        <v>0</v>
      </c>
      <c r="H33" s="33">
        <v>95.95</v>
      </c>
      <c r="I33" s="33">
        <v>3.25</v>
      </c>
      <c r="J33" s="33">
        <f t="shared" si="14"/>
        <v>0</v>
      </c>
      <c r="K33" s="33">
        <f t="shared" si="13"/>
        <v>0</v>
      </c>
      <c r="L33" s="33">
        <f t="shared" si="8"/>
        <v>99.2</v>
      </c>
      <c r="O33" s="24"/>
      <c r="P33" s="23"/>
    </row>
    <row r="34" spans="1:16" x14ac:dyDescent="0.3">
      <c r="A34" s="5" t="s">
        <v>16</v>
      </c>
      <c r="B34" s="26">
        <v>4</v>
      </c>
      <c r="C34" s="20">
        <f t="shared" si="9"/>
        <v>5</v>
      </c>
      <c r="E34" s="21">
        <f t="shared" si="10"/>
        <v>0</v>
      </c>
      <c r="F34" s="21">
        <f t="shared" si="11"/>
        <v>0</v>
      </c>
      <c r="H34" s="33">
        <v>95.95</v>
      </c>
      <c r="I34" s="33">
        <v>3.25</v>
      </c>
      <c r="J34" s="33">
        <f t="shared" si="14"/>
        <v>0</v>
      </c>
      <c r="K34" s="33">
        <f t="shared" ref="K34" si="15">IF(B34="","",ROUND(F34*7.34,2))</f>
        <v>0</v>
      </c>
      <c r="L34" s="33">
        <f t="shared" si="8"/>
        <v>99.2</v>
      </c>
      <c r="O34" s="24"/>
      <c r="P34" s="23"/>
    </row>
    <row r="35" spans="1:16" x14ac:dyDescent="0.3">
      <c r="K35" s="28" t="s">
        <v>27</v>
      </c>
      <c r="L35" s="32">
        <f>SUM(L23:L34)</f>
        <v>4632.53</v>
      </c>
    </row>
    <row r="37" spans="1:16" x14ac:dyDescent="0.3">
      <c r="I37" t="s">
        <v>28</v>
      </c>
      <c r="L37" s="30">
        <v>22422</v>
      </c>
    </row>
    <row r="38" spans="1:16" x14ac:dyDescent="0.3">
      <c r="I38" t="s">
        <v>29</v>
      </c>
      <c r="L38" s="30">
        <v>16003</v>
      </c>
    </row>
    <row r="39" spans="1:16" ht="15" thickBot="1" x14ac:dyDescent="0.35">
      <c r="L39" s="31">
        <f>SUM(L37:L38)</f>
        <v>38425</v>
      </c>
    </row>
    <row r="40" spans="1:16" ht="15" thickTop="1" x14ac:dyDescent="0.3"/>
    <row r="41" spans="1:16" x14ac:dyDescent="0.3">
      <c r="K41" s="27" t="s">
        <v>30</v>
      </c>
      <c r="L41" s="29">
        <f>L35/L39</f>
        <v>0.12056031229668183</v>
      </c>
    </row>
  </sheetData>
  <mergeCells count="6">
    <mergeCell ref="B3:N3"/>
    <mergeCell ref="B2:N2"/>
    <mergeCell ref="E21:F21"/>
    <mergeCell ref="B21:C21"/>
    <mergeCell ref="H21:L21"/>
    <mergeCell ref="L20:M20"/>
  </mergeCells>
  <pageMargins left="0.7" right="0.7" top="0.75" bottom="0.75" header="0.3" footer="0.3"/>
  <pageSetup scale="83" orientation="landscape" r:id="rId1"/>
  <headerFooter>
    <oddHeader>&amp;F</oddHeader>
    <oddFooter>&amp;CPage &amp;P of &amp;N&amp;R&amp;D</oddFooter>
  </headerFooter>
  <ignoredErrors>
    <ignoredError sqref="B17:B18 C17:C18 D17:D18 E17:E18 F17:F18 G17:G18 H17:H18 I17:I18 J17:J18 K17:K18 L5:L16 N17:N18" formulaRange="1"/>
    <ignoredError sqref="M17:M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"/>
  <sheetViews>
    <sheetView workbookViewId="0">
      <selection activeCell="S8" sqref="S8"/>
    </sheetView>
  </sheetViews>
  <sheetFormatPr defaultRowHeight="14.4" x14ac:dyDescent="0.3"/>
  <cols>
    <col min="9" max="9" width="9.109375" customWidth="1"/>
  </cols>
  <sheetData>
    <row r="1" spans="1:19" ht="23.4" x14ac:dyDescent="0.45">
      <c r="A1" s="40" t="s">
        <v>23</v>
      </c>
      <c r="B1" s="40"/>
      <c r="C1" s="40"/>
      <c r="D1" s="40"/>
      <c r="E1" s="40"/>
      <c r="F1" s="40"/>
      <c r="G1" s="40"/>
      <c r="H1" s="40"/>
      <c r="I1" s="40"/>
      <c r="K1" s="40"/>
      <c r="L1" s="40"/>
      <c r="M1" s="40"/>
      <c r="N1" s="40"/>
      <c r="O1" s="40"/>
      <c r="P1" s="40"/>
      <c r="Q1" s="40"/>
      <c r="R1" s="40"/>
      <c r="S1" s="40"/>
    </row>
  </sheetData>
  <mergeCells count="2">
    <mergeCell ref="A1:I1"/>
    <mergeCell ref="K1:S1"/>
  </mergeCells>
  <pageMargins left="0.7" right="0.7" top="0.75" bottom="0.75" header="0.3" footer="0.3"/>
  <pageSetup scale="95" fitToWidth="2" orientation="portrait" r:id="rId1"/>
  <headerFooter>
    <oddHeader>&amp;F</oddHeader>
    <oddFooter>&amp;CPage &amp;P of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12345</vt:lpstr>
      <vt:lpstr>Consumption Graph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Noah</cp:lastModifiedBy>
  <cp:lastPrinted>2021-07-16T18:24:27Z</cp:lastPrinted>
  <dcterms:created xsi:type="dcterms:W3CDTF">2018-05-31T00:39:57Z</dcterms:created>
  <dcterms:modified xsi:type="dcterms:W3CDTF">2024-06-23T17:35:10Z</dcterms:modified>
</cp:coreProperties>
</file>